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Página1" sheetId="1" state="visible" r:id="rId2"/>
    <sheet name="__OpenSolverCache__" sheetId="2" state="hidden" r:id="rId3"/>
    <sheet name="__OpenSolver__" sheetId="3" state="hidden" r:id="rId4"/>
    <sheet name="Página2" sheetId="4" state="hidden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<sst xmlns="http://schemas.openxmlformats.org/spreadsheetml/2006/main" count="191" uniqueCount="99">
  <si>
    <t xml:space="preserve">Selezione BrewShop https://www.selezionebrewshop.com.br/</t>
  </si>
  <si>
    <t xml:space="preserve">1º PASSO</t>
  </si>
  <si>
    <t xml:space="preserve">2º PASSO</t>
  </si>
  <si>
    <t xml:space="preserve">3º PASSO</t>
  </si>
  <si>
    <t xml:space="preserve">4º PASSO</t>
  </si>
  <si>
    <t xml:space="preserve">Perfil Resultante ----------&gt;&gt;</t>
  </si>
  <si>
    <t xml:space="preserve">APA, American IPA e variações, Saison (pale)</t>
  </si>
  <si>
    <t xml:space="preserve">Atual</t>
  </si>
  <si>
    <t xml:space="preserve">Mínimo</t>
  </si>
  <si>
    <t xml:space="preserve">Máximo</t>
  </si>
  <si>
    <t xml:space="preserve">Dica</t>
  </si>
  <si>
    <t xml:space="preserve">Calcio [Ca]</t>
  </si>
  <si>
    <t xml:space="preserve">ppm</t>
  </si>
  <si>
    <t xml:space="preserve">Preencher dados da água base</t>
  </si>
  <si>
    <t xml:space="preserve">Volumes de Água</t>
  </si>
  <si>
    <t xml:space="preserve">Adicionar sais e observar resultado</t>
  </si>
  <si>
    <t xml:space="preserve">Cloreto [Cl]</t>
  </si>
  <si>
    <t xml:space="preserve">ppm ou mg/L</t>
  </si>
  <si>
    <t xml:space="preserve">Mostura / BIAB</t>
  </si>
  <si>
    <t xml:space="preserve">L</t>
  </si>
  <si>
    <t xml:space="preserve">Sulfato de Cálcio [CaSO4]</t>
  </si>
  <si>
    <t xml:space="preserve">g</t>
  </si>
  <si>
    <t xml:space="preserve">Sulfato [SO4]</t>
  </si>
  <si>
    <t xml:space="preserve">Cloreto de Cálcio [CaCl2]</t>
  </si>
  <si>
    <t xml:space="preserve">Magnésio [Mg]</t>
  </si>
  <si>
    <t xml:space="preserve">Lavagem</t>
  </si>
  <si>
    <t xml:space="preserve">Cloreto de Sódio [NaCl]</t>
  </si>
  <si>
    <t xml:space="preserve">Sódio [Na]</t>
  </si>
  <si>
    <t xml:space="preserve">Bicarbonato de Sódio [NaHCO3]</t>
  </si>
  <si>
    <t xml:space="preserve">Bicarbonato [HCO3]</t>
  </si>
  <si>
    <t xml:space="preserve">Água Total</t>
  </si>
  <si>
    <t xml:space="preserve">Sulfato de Magnésio [MgSO4]</t>
  </si>
  <si>
    <t xml:space="preserve">Sulfato/Cloreto</t>
  </si>
  <si>
    <t xml:space="preserve">-</t>
  </si>
  <si>
    <t xml:space="preserve">Alcalinidade</t>
  </si>
  <si>
    <t xml:space="preserve">Alcanidade Residual</t>
  </si>
  <si>
    <t xml:space="preserve">Instruções de Uso (Apenas os campos na cor verde são destinados ao preenchimento do usuário.</t>
  </si>
  <si>
    <t xml:space="preserve">1)</t>
  </si>
  <si>
    <t xml:space="preserve">Preencha os campos em verde do primeiro passo com dos dados do relatório químico da sua água base (dados originais = SAMAE pós-filtro de carvão ativado, análise em 2019).</t>
  </si>
  <si>
    <t xml:space="preserve">2)</t>
  </si>
  <si>
    <t xml:space="preserve">Preencha com a quantidade total de água da sua receita (brassagem + lavagem). Se for BIAB ou similar sem lavagem, preencha apenas a linha Mostura/BIAB, e deixe lavagem em branco.</t>
  </si>
  <si>
    <t xml:space="preserve">3)</t>
  </si>
  <si>
    <r>
      <rPr>
        <sz val="11"/>
        <rFont val="Arial"/>
        <family val="2"/>
        <charset val="1"/>
      </rPr>
      <t xml:space="preserve">Escolha o perfil resultante do 4° Passso (baseado no livro </t>
    </r>
    <r>
      <rPr>
        <i val="true"/>
        <sz val="11"/>
        <rFont val="Cambria"/>
        <family val="1"/>
        <charset val="1"/>
      </rPr>
      <t xml:space="preserve">Water, de John Palmer</t>
    </r>
    <r>
      <rPr>
        <sz val="11"/>
        <rFont val="Arial"/>
        <family val="2"/>
        <charset val="1"/>
      </rPr>
      <t xml:space="preserve">), e acompanhe se os íons estão em quantidades adequadas.</t>
    </r>
  </si>
  <si>
    <t xml:space="preserve">4)</t>
  </si>
  <si>
    <t xml:space="preserve">Entre com as quantidades de sais no passo 3 e observe o aumento dos íons na coluna do perfil resultante (4° Passo). Varie as quantidades até atingir o resultado esperado, observando a coluna “Dica” do 4° Passo.</t>
  </si>
  <si>
    <t xml:space="preserve">5)</t>
  </si>
  <si>
    <t xml:space="preserve">Fracione os sais e adicione metade à agua de brassagem e a outra metade na panela de fervura cheia, antes do início da fervura, ou total na água inicial do BIAB.</t>
  </si>
  <si>
    <t xml:space="preserve">6)</t>
  </si>
  <si>
    <t xml:space="preserve">Evite adicionar sais em excesso à água: comece os tratamentos pelas faixas mínimas recomendadas, até no máximo a metade das faixas. Evite as faixas máximas do estilo.</t>
  </si>
  <si>
    <t xml:space="preserve">Ca</t>
  </si>
  <si>
    <t xml:space="preserve">SO4</t>
  </si>
  <si>
    <t xml:space="preserve">Cl</t>
  </si>
  <si>
    <t xml:space="preserve">Total</t>
  </si>
  <si>
    <t xml:space="preserve">Residual</t>
  </si>
  <si>
    <t xml:space="preserve">Estilo</t>
  </si>
  <si>
    <t xml:space="preserve">Faixa</t>
  </si>
  <si>
    <t xml:space="preserve">Min</t>
  </si>
  <si>
    <t xml:space="preserve">Max</t>
  </si>
  <si>
    <t xml:space="preserve">Altbier, ESB, Irish Red, American Amber, English IPA, Roggenbier, Belgian Pale, Saison (amber)</t>
  </si>
  <si>
    <t xml:space="preserve">50 a 150</t>
  </si>
  <si>
    <t xml:space="preserve">100 a 300</t>
  </si>
  <si>
    <t xml:space="preserve">50 a 100</t>
  </si>
  <si>
    <t xml:space="preserve">0 a 40</t>
  </si>
  <si>
    <t xml:space="preserve">-60 a 0</t>
  </si>
  <si>
    <t xml:space="preserve">American brown ale, english brown, brown/robust porter, dry/sweet/oatmeal/foreign/american stout, Dunkel weiss</t>
  </si>
  <si>
    <t xml:space="preserve">0 a 50</t>
  </si>
  <si>
    <t xml:space="preserve">-40 a 20</t>
  </si>
  <si>
    <t xml:space="preserve">American Lager, German Pils, Czech Pale Lager, Munich Helles</t>
  </si>
  <si>
    <t xml:space="preserve">50 a 80</t>
  </si>
  <si>
    <t xml:space="preserve">40 a 80</t>
  </si>
  <si>
    <t xml:space="preserve">-30 a 30</t>
  </si>
  <si>
    <t xml:space="preserve">100 a 400</t>
  </si>
  <si>
    <t xml:space="preserve">0 a 100</t>
  </si>
  <si>
    <t xml:space="preserve">40 a 120</t>
  </si>
  <si>
    <t xml:space="preserve">0 a 60</t>
  </si>
  <si>
    <t xml:space="preserve">Belgian Blond, strong golden, tripel</t>
  </si>
  <si>
    <t xml:space="preserve">80 a 120</t>
  </si>
  <si>
    <t xml:space="preserve">Bock, doppelbock, eisbock, baltic porter</t>
  </si>
  <si>
    <t xml:space="preserve">0 a 80</t>
  </si>
  <si>
    <t xml:space="preserve">40 a 150</t>
  </si>
  <si>
    <t xml:space="preserve">30 a 120</t>
  </si>
  <si>
    <t xml:space="preserve">Dortmund Export</t>
  </si>
  <si>
    <t xml:space="preserve">75 a 150</t>
  </si>
  <si>
    <t xml:space="preserve">English Brown e Brown Porters + claras</t>
  </si>
  <si>
    <t xml:space="preserve">Foreing Extra Stout, Russian imperial stout, Weizenbock, Belgian Dark Strong Ale</t>
  </si>
  <si>
    <t xml:space="preserve">80 a 150</t>
  </si>
  <si>
    <t xml:space="preserve">30 a 90</t>
  </si>
  <si>
    <t xml:space="preserve">Munich Dunkel, Schwarzbier</t>
  </si>
  <si>
    <t xml:space="preserve">-30 a 0</t>
  </si>
  <si>
    <t xml:space="preserve">Oktoberfest (Festbier)</t>
  </si>
  <si>
    <t xml:space="preserve">Pale Bitters (inglesas)</t>
  </si>
  <si>
    <t xml:space="preserve">100 a 200</t>
  </si>
  <si>
    <t xml:space="preserve">Scotch Strong, Biere de Garde, Dubbel, Old Ale, Barleywine</t>
  </si>
  <si>
    <t xml:space="preserve">80 a 160</t>
  </si>
  <si>
    <t xml:space="preserve">60 a 120</t>
  </si>
  <si>
    <t xml:space="preserve">Scotish Ales</t>
  </si>
  <si>
    <t xml:space="preserve">Vienna</t>
  </si>
  <si>
    <t xml:space="preserve">Weiss, Witbier, Cream, Koelsh</t>
  </si>
  <si>
    <t xml:space="preserve">120 a 200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</si>
</sst>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"/>
    <numFmt numFmtId="167" formatCode="0.00"/>
    <numFmt numFmtId="168" formatCode="&quot;VERDADEIRO&quot;;&quot;VERDADEIRO&quot;;&quot;FALSO&quot;"/>
  </numFmts>
  <fonts count="14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2"/>
      <charset val="1"/>
    </font>
    <font>
      <b val="true"/>
      <u val="single"/>
      <sz val="11"/>
      <color rgb="FFFFFFFF"/>
      <name val="Arial"/>
      <family val="2"/>
      <charset val="1"/>
    </font>
    <font>
      <b val="true"/>
      <sz val="18"/>
      <color rgb="FFFFFFFF"/>
      <name val="Arial"/>
      <family val="2"/>
      <charset val="1"/>
    </font>
    <font>
      <sz val="11"/>
      <name val="Arial"/>
      <family val="2"/>
      <charset val="1"/>
    </font>
    <font>
      <b val="true"/>
      <sz val="14"/>
      <color rgb="FFFFFFFF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sz val="14"/>
      <name val="Arial"/>
      <family val="2"/>
      <charset val="1"/>
    </font>
    <font>
      <i val="true"/>
      <sz val="11"/>
      <name val="Cambria"/>
      <family val="1"/>
      <charset val="1"/>
    </font>
    <font>
      <sz val="11"/>
      <name val="Cambria"/>
      <family val="1"/>
      <charset val="1"/>
    </font>
    <font>
      <b val="true"/>
      <sz val="11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000000"/>
        <bgColor rgb="FF003300"/>
      </patternFill>
    </fill>
    <fill>
      <patternFill patternType="solid">
        <fgColor rgb="FF00FF00"/>
        <bgColor rgb="FF33CCCC"/>
      </patternFill>
    </fill>
    <fill>
      <patternFill patternType="solid">
        <fgColor rgb="FFFFFF00"/>
        <bgColor rgb="FFFFFF00"/>
      </patternFill>
    </fill>
    <fill>
      <patternFill patternType="solid">
        <fgColor rgb="FF00CCFF"/>
        <bgColor rgb="FF33CCCC"/>
      </patternFill>
    </fill>
    <fill>
      <patternFill patternType="solid">
        <fgColor rgb="FFFF0000"/>
        <bgColor rgb="FF9933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7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5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4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7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7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5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2">
    <dxf>
      <font>
        <name val="Arial"/>
        <charset val="1"/>
        <family val="0"/>
        <color rgb="FF000000"/>
      </font>
      <fill>
        <patternFill>
          <bgColor rgb="FF00CCFF"/>
        </patternFill>
      </fill>
    </dxf>
    <dxf>
      <font>
        <name val="Arial"/>
        <charset val="1"/>
        <family val="0"/>
        <color rgb="FF000000"/>
      </font>
      <fill>
        <patternFill>
          <bgColor rgb="FFFF6600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21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X21" activeCellId="0" sqref="X21"/>
    </sheetView>
  </sheetViews>
  <sheetFormatPr defaultRowHeight="15.75"/>
  <cols>
    <col collapsed="false" hidden="false" max="1" min="1" style="0" width="3.10714285714286"/>
    <col collapsed="false" hidden="false" max="2" min="2" style="0" width="19.3061224489796"/>
    <col collapsed="false" hidden="false" max="3" min="3" style="0" width="5.53571428571429"/>
    <col collapsed="false" hidden="false" max="4" min="4" style="0" width="13.3622448979592"/>
    <col collapsed="false" hidden="false" max="5" min="5" style="0" width="2.02551020408163"/>
    <col collapsed="false" hidden="false" max="6" min="6" style="0" width="16.3316326530612"/>
    <col collapsed="false" hidden="false" max="7" min="7" style="0" width="7.4234693877551"/>
    <col collapsed="false" hidden="false" max="8" min="8" style="0" width="3.10714285714286"/>
    <col collapsed="false" hidden="false" max="9" min="9" style="0" width="2.56632653061224"/>
    <col collapsed="false" hidden="false" max="10" min="10" style="0" width="30.780612244898"/>
    <col collapsed="false" hidden="false" max="11" min="11" style="0" width="4.32142857142857"/>
    <col collapsed="false" hidden="false" max="12" min="12" style="0" width="2.42857142857143"/>
    <col collapsed="false" hidden="false" max="13" min="13" style="0" width="2.69897959183673"/>
    <col collapsed="false" hidden="false" max="14" min="14" style="0" width="20.1122448979592"/>
    <col collapsed="false" hidden="false" max="15" min="15" style="0" width="6.0765306122449"/>
    <col collapsed="false" hidden="false" max="16" min="16" style="0" width="4.45408163265306"/>
    <col collapsed="false" hidden="false" max="17" min="17" style="0" width="11.2040816326531"/>
    <col collapsed="false" hidden="false" max="18" min="18" style="0" width="11.7448979591837"/>
    <col collapsed="false" hidden="false" max="19" min="19" style="0" width="13.2295918367347"/>
    <col collapsed="false" hidden="false" max="20" min="20" style="0" width="14.5816326530612"/>
    <col collapsed="false" hidden="false" max="21" min="21" style="0" width="14.8469387755102"/>
    <col collapsed="false" hidden="false" max="22" min="22" style="0" width="3.23979591836735"/>
    <col collapsed="false" hidden="false" max="1025" min="23" style="0" width="13.9030612244898"/>
  </cols>
  <sheetData>
    <row r="1" customFormat="false" ht="13.8" hidden="false" customHeight="false" outlineLevel="0" collapsed="false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customFormat="false" ht="17.35" hidden="false" customHeight="false" outlineLevel="0" collapsed="false">
      <c r="A2" s="1"/>
      <c r="B2" s="3" t="s">
        <v>1</v>
      </c>
      <c r="C2" s="3"/>
      <c r="D2" s="3"/>
      <c r="E2" s="4"/>
      <c r="F2" s="3" t="s">
        <v>2</v>
      </c>
      <c r="G2" s="3"/>
      <c r="H2" s="3"/>
      <c r="I2" s="4"/>
      <c r="J2" s="5" t="s">
        <v>3</v>
      </c>
      <c r="K2" s="5"/>
      <c r="L2" s="5"/>
      <c r="M2" s="4"/>
      <c r="N2" s="6" t="s">
        <v>4</v>
      </c>
      <c r="O2" s="6"/>
      <c r="P2" s="6"/>
      <c r="Q2" s="6"/>
      <c r="R2" s="6"/>
      <c r="S2" s="6"/>
      <c r="T2" s="6"/>
      <c r="U2" s="6"/>
      <c r="V2" s="7"/>
    </row>
    <row r="3" customFormat="false" ht="14.15" hidden="false" customHeight="true" outlineLevel="0" collapsed="false">
      <c r="A3" s="1"/>
      <c r="B3" s="1"/>
      <c r="C3" s="3"/>
      <c r="D3" s="3"/>
      <c r="E3" s="4"/>
      <c r="F3" s="4"/>
      <c r="G3" s="3"/>
      <c r="H3" s="3"/>
      <c r="I3" s="4"/>
      <c r="J3" s="5"/>
      <c r="K3" s="5"/>
      <c r="L3" s="5"/>
      <c r="M3" s="4"/>
      <c r="N3" s="8" t="s">
        <v>5</v>
      </c>
      <c r="O3" s="8"/>
      <c r="P3" s="8"/>
      <c r="Q3" s="9" t="s">
        <v>6</v>
      </c>
      <c r="R3" s="9"/>
      <c r="S3" s="9"/>
      <c r="T3" s="9"/>
      <c r="U3" s="9"/>
      <c r="V3" s="7"/>
    </row>
    <row r="4" customFormat="false" ht="13.8" hidden="false" customHeight="false" outlineLevel="0" collapsed="false">
      <c r="A4" s="1"/>
      <c r="B4" s="1"/>
      <c r="C4" s="3"/>
      <c r="D4" s="3"/>
      <c r="E4" s="4"/>
      <c r="F4" s="4"/>
      <c r="G4" s="3"/>
      <c r="H4" s="3"/>
      <c r="I4" s="4"/>
      <c r="J4" s="5"/>
      <c r="K4" s="5"/>
      <c r="L4" s="5"/>
      <c r="M4" s="4"/>
      <c r="N4" s="8"/>
      <c r="O4" s="8" t="s">
        <v>7</v>
      </c>
      <c r="P4" s="8"/>
      <c r="Q4" s="8" t="s">
        <v>8</v>
      </c>
      <c r="R4" s="8" t="s">
        <v>9</v>
      </c>
      <c r="S4" s="8" t="s">
        <v>10</v>
      </c>
      <c r="T4" s="8"/>
      <c r="U4" s="8"/>
      <c r="V4" s="7"/>
    </row>
    <row r="5" customFormat="false" ht="13.8" hidden="false" customHeight="false" outlineLevel="0" collapsed="false">
      <c r="A5" s="1"/>
      <c r="B5" s="1"/>
      <c r="C5" s="3"/>
      <c r="D5" s="3"/>
      <c r="E5" s="4"/>
      <c r="F5" s="4"/>
      <c r="G5" s="3"/>
      <c r="H5" s="3"/>
      <c r="I5" s="4"/>
      <c r="J5" s="5"/>
      <c r="K5" s="5"/>
      <c r="L5" s="5"/>
      <c r="M5" s="4"/>
      <c r="N5" s="10" t="s">
        <v>11</v>
      </c>
      <c r="O5" s="11" t="n">
        <f aca="false">C7+($K$7/$G$11)*233+(($K$8/$G$11)*272)</f>
        <v>12</v>
      </c>
      <c r="P5" s="10" t="s">
        <v>12</v>
      </c>
      <c r="Q5" s="12" t="n">
        <f aca="false">LOOKUP($Q$3,Página2!$A$3:$A$18,Página2!$C$3:$C$18)</f>
        <v>50</v>
      </c>
      <c r="R5" s="12" t="n">
        <f aca="false">LOOKUP($Q$3,Página2!$A$3:$A$18,Página2!$D$3:$D$18)</f>
        <v>150</v>
      </c>
      <c r="S5" s="13" t="str">
        <f aca="false">IF(O5&lt;Q5,"Aumentar Sulfato ou Cloreto de Cálcio",IF(O5&gt;R5,"Diminuir Sulfato ou Cloreto de Cálcio","OK"))</f>
        <v>Aumentar Sulfato ou Cloreto de Cálcio</v>
      </c>
      <c r="T5" s="13"/>
      <c r="U5" s="13"/>
      <c r="V5" s="7"/>
    </row>
    <row r="6" customFormat="false" ht="13.8" hidden="false" customHeight="false" outlineLevel="0" collapsed="false">
      <c r="A6" s="1"/>
      <c r="B6" s="14" t="s">
        <v>13</v>
      </c>
      <c r="C6" s="14"/>
      <c r="D6" s="14"/>
      <c r="E6" s="4"/>
      <c r="F6" s="14" t="s">
        <v>14</v>
      </c>
      <c r="G6" s="14"/>
      <c r="H6" s="14"/>
      <c r="I6" s="4"/>
      <c r="J6" s="15" t="s">
        <v>15</v>
      </c>
      <c r="K6" s="15"/>
      <c r="L6" s="15"/>
      <c r="M6" s="4"/>
      <c r="N6" s="10" t="s">
        <v>16</v>
      </c>
      <c r="O6" s="11" t="n">
        <f aca="false">C8+(($K$8/$G$11)*482)+(($K$9/$G$11)*624)</f>
        <v>0</v>
      </c>
      <c r="P6" s="10" t="s">
        <v>12</v>
      </c>
      <c r="Q6" s="12" t="n">
        <f aca="false">LOOKUP($Q$3,Página2!$A$3:$A$18,Página2!$I$3:$I$18)</f>
        <v>0</v>
      </c>
      <c r="R6" s="12" t="n">
        <f aca="false">LOOKUP($Q$3,Página2!$A$3:$A$18,Página2!$J$3:$J$18)</f>
        <v>100</v>
      </c>
      <c r="S6" s="13" t="str">
        <f aca="false">IF(O6&lt;Q6,"Aumentar Cloreto de Cálcio ou Cloreto de Sódio",IF(O6&gt;R6,"Diminuir Cloreto de Cálcio ou Cloreto de Sódio","OK"))</f>
        <v>OK</v>
      </c>
      <c r="T6" s="13"/>
      <c r="U6" s="13"/>
      <c r="V6" s="7"/>
    </row>
    <row r="7" customFormat="false" ht="13.8" hidden="false" customHeight="false" outlineLevel="0" collapsed="false">
      <c r="A7" s="1"/>
      <c r="B7" s="10" t="s">
        <v>11</v>
      </c>
      <c r="C7" s="16" t="n">
        <v>12</v>
      </c>
      <c r="D7" s="12" t="s">
        <v>17</v>
      </c>
      <c r="E7" s="4"/>
      <c r="F7" s="17" t="s">
        <v>18</v>
      </c>
      <c r="G7" s="18" t="n">
        <v>21</v>
      </c>
      <c r="H7" s="17" t="s">
        <v>19</v>
      </c>
      <c r="I7" s="4"/>
      <c r="J7" s="10" t="s">
        <v>20</v>
      </c>
      <c r="K7" s="19" t="n">
        <v>0</v>
      </c>
      <c r="L7" s="10" t="s">
        <v>21</v>
      </c>
      <c r="M7" s="4"/>
      <c r="N7" s="10" t="s">
        <v>22</v>
      </c>
      <c r="O7" s="11" t="n">
        <f aca="false">C9+(($K$7/$G$11)*558)+(($K$11/$G$11)*391)</f>
        <v>9</v>
      </c>
      <c r="P7" s="10" t="s">
        <v>12</v>
      </c>
      <c r="Q7" s="12" t="n">
        <f aca="false">LOOKUP($Q$3,Página2!$A$3:$A$18,Página2!$F$3:$F$18)</f>
        <v>100</v>
      </c>
      <c r="R7" s="12" t="n">
        <f aca="false">LOOKUP($Q$3,Página2!$A$3:$A$18,Página2!$G$3:$G$18)</f>
        <v>400</v>
      </c>
      <c r="S7" s="13" t="str">
        <f aca="false">IF(O7&lt;Q7,"Aumentar Sulfato de Cálcio",IF(O7&gt;R7,"Diminuir Sulfato de Cálcio","OK"))</f>
        <v>Aumentar Sulfato de Cálcio</v>
      </c>
      <c r="T7" s="13"/>
      <c r="U7" s="13"/>
      <c r="V7" s="7"/>
    </row>
    <row r="8" customFormat="false" ht="13.8" hidden="false" customHeight="false" outlineLevel="0" collapsed="false">
      <c r="A8" s="1"/>
      <c r="B8" s="10" t="s">
        <v>16</v>
      </c>
      <c r="C8" s="16" t="n">
        <v>0</v>
      </c>
      <c r="D8" s="12" t="s">
        <v>17</v>
      </c>
      <c r="E8" s="4"/>
      <c r="F8" s="17"/>
      <c r="G8" s="18"/>
      <c r="H8" s="17"/>
      <c r="I8" s="4"/>
      <c r="J8" s="10" t="s">
        <v>23</v>
      </c>
      <c r="K8" s="19" t="n">
        <v>0</v>
      </c>
      <c r="L8" s="10" t="s">
        <v>21</v>
      </c>
      <c r="M8" s="4"/>
      <c r="N8" s="10" t="s">
        <v>24</v>
      </c>
      <c r="O8" s="11" t="n">
        <f aca="false">C10+11+(($K$11/$G$11)*99)</f>
        <v>15.5</v>
      </c>
      <c r="P8" s="10" t="s">
        <v>12</v>
      </c>
      <c r="Q8" s="12" t="n">
        <v>10</v>
      </c>
      <c r="R8" s="12" t="n">
        <v>30</v>
      </c>
      <c r="S8" s="13" t="str">
        <f aca="false">IF(O8&lt;Q8,"Aumentar Sulfato de Magnésio",IF(O8&gt;R8,"Diminuir Sulfato de Magnésio","OK"))</f>
        <v>OK</v>
      </c>
      <c r="T8" s="13"/>
      <c r="U8" s="13"/>
      <c r="V8" s="7"/>
    </row>
    <row r="9" customFormat="false" ht="13.8" hidden="false" customHeight="false" outlineLevel="0" collapsed="false">
      <c r="A9" s="1"/>
      <c r="B9" s="10" t="s">
        <v>22</v>
      </c>
      <c r="C9" s="16" t="n">
        <v>9</v>
      </c>
      <c r="D9" s="12" t="s">
        <v>17</v>
      </c>
      <c r="E9" s="4"/>
      <c r="F9" s="17" t="s">
        <v>25</v>
      </c>
      <c r="G9" s="18" t="n">
        <v>0</v>
      </c>
      <c r="H9" s="17" t="s">
        <v>19</v>
      </c>
      <c r="I9" s="4"/>
      <c r="J9" s="10" t="s">
        <v>26</v>
      </c>
      <c r="K9" s="19" t="n">
        <v>0</v>
      </c>
      <c r="L9" s="10" t="s">
        <v>21</v>
      </c>
      <c r="M9" s="4"/>
      <c r="N9" s="10" t="s">
        <v>27</v>
      </c>
      <c r="O9" s="11" t="n">
        <f aca="false">C11+(($K$9/$G$11)*393)+(($K$10/$G$11)*272)</f>
        <v>6.1</v>
      </c>
      <c r="P9" s="10" t="s">
        <v>12</v>
      </c>
      <c r="Q9" s="12" t="n">
        <v>0</v>
      </c>
      <c r="R9" s="12" t="n">
        <v>150</v>
      </c>
      <c r="S9" s="13" t="str">
        <f aca="false">IF(O9&gt;R9,"Diminuir Cloreto ou Bicarbonato de Sódio","OK")</f>
        <v>OK</v>
      </c>
      <c r="T9" s="13"/>
      <c r="U9" s="13"/>
      <c r="V9" s="7"/>
    </row>
    <row r="10" customFormat="false" ht="13.8" hidden="false" customHeight="false" outlineLevel="0" collapsed="false">
      <c r="A10" s="1"/>
      <c r="B10" s="10" t="s">
        <v>24</v>
      </c>
      <c r="C10" s="16" t="n">
        <v>4.5</v>
      </c>
      <c r="D10" s="12" t="s">
        <v>17</v>
      </c>
      <c r="E10" s="4"/>
      <c r="F10" s="17"/>
      <c r="G10" s="18"/>
      <c r="H10" s="17"/>
      <c r="I10" s="4"/>
      <c r="J10" s="10" t="s">
        <v>28</v>
      </c>
      <c r="K10" s="19" t="n">
        <v>0</v>
      </c>
      <c r="L10" s="10" t="s">
        <v>21</v>
      </c>
      <c r="M10" s="4"/>
      <c r="N10" s="10" t="s">
        <v>29</v>
      </c>
      <c r="O10" s="11" t="n">
        <f aca="false">C12+(($K$10/$G$11)*719)</f>
        <v>9.5</v>
      </c>
      <c r="P10" s="10" t="s">
        <v>12</v>
      </c>
      <c r="Q10" s="12" t="n">
        <v>0</v>
      </c>
      <c r="R10" s="12" t="n">
        <v>200</v>
      </c>
      <c r="S10" s="13" t="str">
        <f aca="false">IF(O10&gt;R10,"Diminuir Bicarbonato de Sódio","OK")</f>
        <v>OK</v>
      </c>
      <c r="T10" s="13"/>
      <c r="U10" s="13"/>
      <c r="V10" s="7"/>
    </row>
    <row r="11" customFormat="false" ht="13.8" hidden="false" customHeight="false" outlineLevel="0" collapsed="false">
      <c r="A11" s="20"/>
      <c r="B11" s="10" t="s">
        <v>27</v>
      </c>
      <c r="C11" s="16" t="n">
        <v>6.1</v>
      </c>
      <c r="D11" s="12" t="s">
        <v>17</v>
      </c>
      <c r="E11" s="20"/>
      <c r="F11" s="17" t="s">
        <v>30</v>
      </c>
      <c r="G11" s="21" t="n">
        <f aca="false">G9+G7</f>
        <v>21</v>
      </c>
      <c r="H11" s="17" t="s">
        <v>19</v>
      </c>
      <c r="I11" s="20"/>
      <c r="J11" s="10" t="s">
        <v>31</v>
      </c>
      <c r="K11" s="19" t="n">
        <v>0</v>
      </c>
      <c r="L11" s="10" t="s">
        <v>21</v>
      </c>
      <c r="M11" s="4"/>
      <c r="N11" s="10" t="s">
        <v>32</v>
      </c>
      <c r="O11" s="22" t="str">
        <f aca="false">IF(AND(O6,O7),O7/O6,"-")</f>
        <v>-</v>
      </c>
      <c r="P11" s="12" t="s">
        <v>33</v>
      </c>
      <c r="Q11" s="23" t="str">
        <f aca="false">IF(O11&lt;0.7,"Maltada",IF(AND(O11&gt;=0.7,O11&lt;1.3),"Equilibrada",IF(O11&gt;=1.3,"Amarga")))</f>
        <v>Amarga</v>
      </c>
      <c r="R11" s="23"/>
      <c r="S11" s="24" t="s">
        <v>33</v>
      </c>
      <c r="T11" s="24"/>
      <c r="U11" s="24"/>
      <c r="V11" s="7"/>
    </row>
    <row r="12" customFormat="false" ht="13.8" hidden="false" customHeight="false" outlineLevel="0" collapsed="false">
      <c r="A12" s="20"/>
      <c r="B12" s="10" t="s">
        <v>29</v>
      </c>
      <c r="C12" s="16" t="n">
        <v>9.5</v>
      </c>
      <c r="D12" s="12" t="s">
        <v>17</v>
      </c>
      <c r="E12" s="20"/>
      <c r="F12" s="17"/>
      <c r="G12" s="17"/>
      <c r="H12" s="17"/>
      <c r="I12" s="25"/>
      <c r="J12" s="20"/>
      <c r="K12" s="20"/>
      <c r="L12" s="20"/>
      <c r="M12" s="4"/>
      <c r="N12" s="10" t="s">
        <v>34</v>
      </c>
      <c r="O12" s="11" t="n">
        <f aca="false">(O10/61)*50</f>
        <v>7.78688524590164</v>
      </c>
      <c r="P12" s="10" t="s">
        <v>12</v>
      </c>
      <c r="Q12" s="12" t="n">
        <f aca="false">LOOKUP($Q$3,Página2!$A$3:$A$18,Página2!$L$3:$L$18)</f>
        <v>40</v>
      </c>
      <c r="R12" s="12" t="n">
        <f aca="false">LOOKUP($Q$3,Página2!$A$3:$A$18,Página2!$M$3:$M$18)</f>
        <v>120</v>
      </c>
      <c r="S12" s="13" t="str">
        <f aca="false">IF(O12&lt;Q12,"Aumentar Bicarbonato de Sódio",IF(O12&gt;R12,"Diminuir Bicarbonato de Sódio","OK"))</f>
        <v>Aumentar Bicarbonato de Sódio</v>
      </c>
      <c r="T12" s="13"/>
      <c r="U12" s="13"/>
      <c r="V12" s="7"/>
    </row>
    <row r="13" customFormat="false" ht="13.8" hidden="false" customHeight="false" outlineLevel="0" collapsed="false">
      <c r="A13" s="20"/>
      <c r="B13" s="20"/>
      <c r="C13" s="20"/>
      <c r="D13" s="20"/>
      <c r="E13" s="20"/>
      <c r="F13" s="20"/>
      <c r="G13" s="20"/>
      <c r="H13" s="20"/>
      <c r="I13" s="26"/>
      <c r="J13" s="20"/>
      <c r="K13" s="20"/>
      <c r="L13" s="20"/>
      <c r="M13" s="4"/>
      <c r="N13" s="10" t="s">
        <v>35</v>
      </c>
      <c r="O13" s="11" t="n">
        <f aca="false">O12-((O5/1.4)+((O8)/1.7))</f>
        <v>-9.90219038435046</v>
      </c>
      <c r="P13" s="10" t="s">
        <v>12</v>
      </c>
      <c r="Q13" s="12" t="n">
        <f aca="false">LOOKUP($Q$3,Página2!$A$3:$A$18,Página2!$O$3:$O$18)</f>
        <v>0</v>
      </c>
      <c r="R13" s="12" t="n">
        <f aca="false">LOOKUP($Q$3,Página2!$A$3:$A$18,Página2!$P$3:$P$18)</f>
        <v>60</v>
      </c>
      <c r="S13" s="13" t="str">
        <f aca="false">IF(O13&lt;Q13,"Aumentar Bicarbonato de Sódio",IF(O13&gt;R13,"Diminuir Bicarbonato de Sódio","OK"))</f>
        <v>Aumentar Bicarbonato de Sódio</v>
      </c>
      <c r="T13" s="13"/>
      <c r="U13" s="13"/>
      <c r="V13" s="7"/>
    </row>
    <row r="14" customFormat="false" ht="13.8" hidden="false" customHeight="false" outlineLevel="0" collapsed="false">
      <c r="A14" s="20"/>
      <c r="B14" s="20"/>
      <c r="C14" s="20"/>
      <c r="D14" s="20"/>
      <c r="E14" s="20"/>
      <c r="F14" s="20"/>
      <c r="G14" s="20"/>
      <c r="H14" s="20"/>
      <c r="I14" s="26"/>
      <c r="J14" s="20"/>
      <c r="K14" s="20"/>
      <c r="L14" s="20"/>
      <c r="M14" s="27"/>
      <c r="N14" s="27"/>
      <c r="O14" s="27"/>
      <c r="P14" s="27"/>
      <c r="Q14" s="27"/>
      <c r="R14" s="28"/>
      <c r="S14" s="28"/>
      <c r="T14" s="7"/>
      <c r="U14" s="7"/>
      <c r="V14" s="7"/>
    </row>
    <row r="15" customFormat="false" ht="13.8" hidden="false" customHeight="false" outlineLevel="0" collapsed="false">
      <c r="A15" s="29"/>
      <c r="B15" s="30" t="s">
        <v>36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customFormat="false" ht="13.8" hidden="false" customHeight="false" outlineLevel="0" collapsed="false">
      <c r="A16" s="31" t="s">
        <v>37</v>
      </c>
      <c r="B16" s="32" t="s">
        <v>38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</row>
    <row r="17" customFormat="false" ht="13.8" hidden="false" customHeight="false" outlineLevel="0" collapsed="false">
      <c r="A17" s="31" t="s">
        <v>39</v>
      </c>
      <c r="B17" s="32" t="s">
        <v>40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</row>
    <row r="18" customFormat="false" ht="14.95" hidden="false" customHeight="false" outlineLevel="0" collapsed="false">
      <c r="A18" s="31" t="s">
        <v>41</v>
      </c>
      <c r="B18" s="32" t="s">
        <v>42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</row>
    <row r="19" customFormat="false" ht="13.8" hidden="false" customHeight="false" outlineLevel="0" collapsed="false">
      <c r="A19" s="31" t="s">
        <v>43</v>
      </c>
      <c r="B19" s="32" t="s">
        <v>44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</row>
    <row r="20" customFormat="false" ht="13.8" hidden="false" customHeight="false" outlineLevel="0" collapsed="false">
      <c r="A20" s="31" t="s">
        <v>45</v>
      </c>
      <c r="B20" s="32" t="s">
        <v>46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1" customFormat="false" ht="13.8" hidden="false" customHeight="false" outlineLevel="0" collapsed="false">
      <c r="A21" s="31" t="s">
        <v>47</v>
      </c>
      <c r="B21" s="32" t="s">
        <v>48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</row>
  </sheetData>
  <sheetProtection sheet="true" password="cae9" objects="true" scenarios="true"/>
  <mergeCells count="43">
    <mergeCell ref="A1:A10"/>
    <mergeCell ref="B1:V1"/>
    <mergeCell ref="B2:D5"/>
    <mergeCell ref="E2:E10"/>
    <mergeCell ref="F2:H5"/>
    <mergeCell ref="I2:I10"/>
    <mergeCell ref="J2:L5"/>
    <mergeCell ref="M2:M13"/>
    <mergeCell ref="N2:U2"/>
    <mergeCell ref="N3:P3"/>
    <mergeCell ref="Q3:U3"/>
    <mergeCell ref="O4:P4"/>
    <mergeCell ref="S4:U4"/>
    <mergeCell ref="S5:U5"/>
    <mergeCell ref="B6:D6"/>
    <mergeCell ref="F6:H6"/>
    <mergeCell ref="J6:L6"/>
    <mergeCell ref="S6:U6"/>
    <mergeCell ref="F7:F8"/>
    <mergeCell ref="G7:G8"/>
    <mergeCell ref="H7:H8"/>
    <mergeCell ref="S7:U7"/>
    <mergeCell ref="S8:U8"/>
    <mergeCell ref="F9:F10"/>
    <mergeCell ref="G9:G10"/>
    <mergeCell ref="H9:H10"/>
    <mergeCell ref="S9:U9"/>
    <mergeCell ref="S10:U10"/>
    <mergeCell ref="F11:F12"/>
    <mergeCell ref="G11:G12"/>
    <mergeCell ref="H11:H12"/>
    <mergeCell ref="Q11:R11"/>
    <mergeCell ref="S11:U11"/>
    <mergeCell ref="S12:U12"/>
    <mergeCell ref="S13:U13"/>
    <mergeCell ref="M14:Q14"/>
    <mergeCell ref="B15:V15"/>
    <mergeCell ref="B16:V16"/>
    <mergeCell ref="B17:V17"/>
    <mergeCell ref="B18:V18"/>
    <mergeCell ref="B19:V19"/>
    <mergeCell ref="B20:V20"/>
    <mergeCell ref="B21:V21"/>
  </mergeCells>
  <dataValidations count="1">
    <dataValidation allowBlank="true" operator="equal" showDropDown="false" showErrorMessage="false" showInputMessage="false" sqref="Q3" type="list">
      <formula1>Página2!$A$3:$A$18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75"/>
  <cols>
    <col collapsed="false" hidden="false" max="1025" min="1" style="0" width="13.9030612244898"/>
  </cols>
  <sheetData>
    <row r="1" customFormat="false" ht="15.75" hidden="false" customHeight="false" outlineLevel="0" collapsed="false">
      <c r="A1" s="33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1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75"/>
  <cols>
    <col collapsed="false" hidden="false" max="1025" min="1" style="0" width="13.9030612244898"/>
  </cols>
  <sheetData>
    <row r="1" customFormat="false" ht="15.75" hidden="false" customHeight="false" outlineLevel="0" collapsed="false">
      <c r="A1" s="0" t="e">
        <f aca="false">modelsheet=Página1!B:AC</f>
        <v>#NAME?</v>
      </c>
    </row>
    <row r="2" customFormat="false" ht="15.75" hidden="false" customHeight="false" outlineLevel="0" collapsed="false">
      <c r="A2" s="0" t="e">
        <f aca="false">opensolver_adjnum=2</f>
        <v>#NAME?</v>
      </c>
    </row>
    <row r="3" customFormat="false" ht="15.75" hidden="false" customHeight="false" outlineLevel="0" collapsed="false">
      <c r="A3" s="0" t="e">
        <f aca="false">opensolver_chosensolver=google</f>
        <v>#NAME?</v>
      </c>
    </row>
    <row r="4" customFormat="false" ht="15.75" hidden="false" customHeight="false" outlineLevel="0" collapsed="false">
      <c r="A4" s="0" t="e">
        <f aca="false">opensolver_fastbuild=0</f>
        <v>#NAME?</v>
      </c>
    </row>
    <row r="5" customFormat="false" ht="15.75" hidden="false" customHeight="false" outlineLevel="0" collapsed="false">
      <c r="A5" s="0" t="e">
        <f aca="false">opensolver_linearitycheck=1</f>
        <v>#NAME?</v>
      </c>
    </row>
    <row r="6" customFormat="false" ht="15.75" hidden="false" customHeight="false" outlineLevel="0" collapsed="false">
      <c r="A6" s="0" t="e">
        <f aca="false">solver_adj=#REF!</f>
        <v>#NAME?</v>
      </c>
    </row>
    <row r="7" customFormat="false" ht="15.75" hidden="false" customHeight="false" outlineLevel="0" collapsed="false">
      <c r="A7" s="0" t="e">
        <f aca="false">solver_adj1=Página1!K7:K8</f>
        <v>#NAME?</v>
      </c>
    </row>
    <row r="8" customFormat="false" ht="15.75" hidden="false" customHeight="false" outlineLevel="0" collapsed="false">
      <c r="A8" s="0" t="e">
        <f aca="false">solver_neg=1</f>
        <v>#NAME?</v>
      </c>
    </row>
    <row r="9" customFormat="false" ht="15.75" hidden="false" customHeight="false" outlineLevel="0" collapsed="false">
      <c r="A9" s="0" t="e">
        <f aca="false">solver_num=0</f>
        <v>#NAME?</v>
      </c>
    </row>
    <row r="10" customFormat="false" ht="15.75" hidden="false" customHeight="false" outlineLevel="0" collapsed="false">
      <c r="A10" s="0" t="e">
        <f aca="false">solver_opt=#REF!</f>
        <v>#NAME?</v>
      </c>
    </row>
    <row r="11" customFormat="false" ht="15.75" hidden="false" customHeight="false" outlineLevel="0" collapsed="false">
      <c r="A11" s="0" t="e">
        <f aca="false">solver_sho=1</f>
        <v>#NAME?</v>
      </c>
    </row>
    <row r="12" customFormat="false" ht="15.75" hidden="false" customHeight="false" outlineLevel="0" collapsed="false">
      <c r="A12" s="0" t="e">
        <f aca="false">solver_typ=2</f>
        <v>#NAME?</v>
      </c>
    </row>
    <row r="13" customFormat="false" ht="15.75" hidden="false" customHeight="false" outlineLevel="0" collapsed="false">
      <c r="A13" s="0" t="e">
        <f aca="false">solver_val=0</f>
        <v>#NAME?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5" activeCellId="0" sqref="F5"/>
    </sheetView>
  </sheetViews>
  <sheetFormatPr defaultRowHeight="15.75"/>
  <cols>
    <col collapsed="false" hidden="false" max="1" min="1" style="0" width="80.3214285714286"/>
    <col collapsed="false" hidden="false" max="2" min="2" style="0" width="11.3418367346939"/>
    <col collapsed="false" hidden="false" max="3" min="3" style="0" width="5.66836734693878"/>
    <col collapsed="false" hidden="false" max="4" min="4" style="0" width="6.3469387755102"/>
    <col collapsed="false" hidden="false" max="5" min="5" style="0" width="9.17857142857143"/>
    <col collapsed="false" hidden="false" max="6" min="6" style="0" width="8.10204081632653"/>
    <col collapsed="false" hidden="false" max="7" min="7" style="0" width="5.66836734693878"/>
    <col collapsed="false" hidden="false" max="8" min="8" style="0" width="8.10204081632653"/>
    <col collapsed="false" hidden="false" max="9" min="9" style="0" width="6.47959183673469"/>
    <col collapsed="false" hidden="false" max="10" min="10" style="0" width="4.72448979591837"/>
    <col collapsed="false" hidden="false" max="11" min="11" style="0" width="9.71938775510204"/>
    <col collapsed="false" hidden="false" max="12" min="12" style="0" width="6.61224489795918"/>
    <col collapsed="false" hidden="false" max="13" min="13" style="0" width="7.1530612244898"/>
    <col collapsed="false" hidden="false" max="14" min="14" style="0" width="9.04591836734694"/>
    <col collapsed="false" hidden="false" max="15" min="15" style="0" width="6.0765306122449"/>
    <col collapsed="false" hidden="false" max="16" min="16" style="0" width="5.12755102040816"/>
    <col collapsed="false" hidden="false" max="1025" min="17" style="0" width="13.9030612244898"/>
  </cols>
  <sheetData>
    <row r="1" customFormat="false" ht="13.8" hidden="false" customHeight="false" outlineLevel="0" collapsed="false">
      <c r="A1" s="34"/>
      <c r="B1" s="35" t="s">
        <v>49</v>
      </c>
      <c r="C1" s="35"/>
      <c r="D1" s="35"/>
      <c r="E1" s="35" t="s">
        <v>50</v>
      </c>
      <c r="F1" s="35"/>
      <c r="G1" s="35"/>
      <c r="H1" s="35" t="s">
        <v>51</v>
      </c>
      <c r="I1" s="35"/>
      <c r="J1" s="35"/>
      <c r="K1" s="35" t="s">
        <v>52</v>
      </c>
      <c r="L1" s="35"/>
      <c r="M1" s="35"/>
      <c r="N1" s="35" t="s">
        <v>53</v>
      </c>
      <c r="O1" s="35"/>
      <c r="P1" s="35"/>
    </row>
    <row r="2" customFormat="false" ht="13.8" hidden="false" customHeight="false" outlineLevel="0" collapsed="false">
      <c r="A2" s="34" t="s">
        <v>54</v>
      </c>
      <c r="B2" s="36" t="s">
        <v>55</v>
      </c>
      <c r="C2" s="36" t="s">
        <v>56</v>
      </c>
      <c r="D2" s="36" t="s">
        <v>57</v>
      </c>
      <c r="E2" s="36" t="s">
        <v>55</v>
      </c>
      <c r="F2" s="36" t="s">
        <v>56</v>
      </c>
      <c r="G2" s="36" t="s">
        <v>57</v>
      </c>
      <c r="H2" s="36" t="s">
        <v>55</v>
      </c>
      <c r="I2" s="36" t="s">
        <v>56</v>
      </c>
      <c r="J2" s="36" t="s">
        <v>57</v>
      </c>
      <c r="K2" s="36" t="s">
        <v>55</v>
      </c>
      <c r="L2" s="36" t="s">
        <v>56</v>
      </c>
      <c r="M2" s="36" t="s">
        <v>57</v>
      </c>
      <c r="N2" s="36" t="s">
        <v>55</v>
      </c>
      <c r="O2" s="36" t="s">
        <v>56</v>
      </c>
      <c r="P2" s="36" t="s">
        <v>57</v>
      </c>
    </row>
    <row r="3" customFormat="false" ht="26.95" hidden="false" customHeight="false" outlineLevel="0" collapsed="false">
      <c r="A3" s="37" t="s">
        <v>58</v>
      </c>
      <c r="B3" s="38" t="s">
        <v>59</v>
      </c>
      <c r="C3" s="38" t="n">
        <v>50</v>
      </c>
      <c r="D3" s="38" t="n">
        <v>150</v>
      </c>
      <c r="E3" s="38" t="s">
        <v>60</v>
      </c>
      <c r="F3" s="38" t="n">
        <v>100</v>
      </c>
      <c r="G3" s="38" t="n">
        <v>300</v>
      </c>
      <c r="H3" s="38" t="s">
        <v>61</v>
      </c>
      <c r="I3" s="38" t="n">
        <v>50</v>
      </c>
      <c r="J3" s="38" t="n">
        <v>100</v>
      </c>
      <c r="K3" s="38" t="s">
        <v>62</v>
      </c>
      <c r="L3" s="38" t="n">
        <v>0</v>
      </c>
      <c r="M3" s="38" t="n">
        <v>40</v>
      </c>
      <c r="N3" s="38" t="s">
        <v>63</v>
      </c>
      <c r="O3" s="39" t="n">
        <v>-60</v>
      </c>
      <c r="P3" s="39" t="n">
        <v>0</v>
      </c>
    </row>
    <row r="4" customFormat="false" ht="26.95" hidden="false" customHeight="false" outlineLevel="0" collapsed="false">
      <c r="A4" s="37" t="s">
        <v>64</v>
      </c>
      <c r="B4" s="38" t="s">
        <v>61</v>
      </c>
      <c r="C4" s="38" t="n">
        <v>50</v>
      </c>
      <c r="D4" s="38" t="n">
        <v>100</v>
      </c>
      <c r="E4" s="38" t="s">
        <v>59</v>
      </c>
      <c r="F4" s="38" t="n">
        <v>50</v>
      </c>
      <c r="G4" s="38" t="n">
        <v>150</v>
      </c>
      <c r="H4" s="38" t="s">
        <v>59</v>
      </c>
      <c r="I4" s="38" t="n">
        <v>50</v>
      </c>
      <c r="J4" s="38" t="n">
        <v>150</v>
      </c>
      <c r="K4" s="38" t="s">
        <v>65</v>
      </c>
      <c r="L4" s="38" t="n">
        <v>0</v>
      </c>
      <c r="M4" s="38" t="n">
        <v>50</v>
      </c>
      <c r="N4" s="38" t="s">
        <v>66</v>
      </c>
      <c r="O4" s="39" t="n">
        <v>-40</v>
      </c>
      <c r="P4" s="39" t="n">
        <v>20</v>
      </c>
    </row>
    <row r="5" customFormat="false" ht="14.2" hidden="false" customHeight="false" outlineLevel="0" collapsed="false">
      <c r="A5" s="37" t="s">
        <v>67</v>
      </c>
      <c r="B5" s="38" t="s">
        <v>68</v>
      </c>
      <c r="C5" s="38" t="n">
        <v>50</v>
      </c>
      <c r="D5" s="38" t="n">
        <v>80</v>
      </c>
      <c r="E5" s="38" t="s">
        <v>65</v>
      </c>
      <c r="F5" s="38" t="n">
        <v>0</v>
      </c>
      <c r="G5" s="38" t="n">
        <v>50</v>
      </c>
      <c r="H5" s="38" t="s">
        <v>61</v>
      </c>
      <c r="I5" s="38" t="n">
        <v>50</v>
      </c>
      <c r="J5" s="38" t="n">
        <v>100</v>
      </c>
      <c r="K5" s="38" t="s">
        <v>69</v>
      </c>
      <c r="L5" s="38" t="n">
        <v>40</v>
      </c>
      <c r="M5" s="38" t="n">
        <v>80</v>
      </c>
      <c r="N5" s="38" t="s">
        <v>70</v>
      </c>
      <c r="O5" s="39" t="n">
        <v>-30</v>
      </c>
      <c r="P5" s="39" t="n">
        <v>30</v>
      </c>
    </row>
    <row r="6" customFormat="false" ht="14.2" hidden="false" customHeight="false" outlineLevel="0" collapsed="false">
      <c r="A6" s="37" t="s">
        <v>6</v>
      </c>
      <c r="B6" s="38" t="s">
        <v>59</v>
      </c>
      <c r="C6" s="38" t="n">
        <v>50</v>
      </c>
      <c r="D6" s="38" t="n">
        <v>150</v>
      </c>
      <c r="E6" s="38" t="s">
        <v>71</v>
      </c>
      <c r="F6" s="38" t="n">
        <v>100</v>
      </c>
      <c r="G6" s="38" t="n">
        <v>400</v>
      </c>
      <c r="H6" s="38" t="s">
        <v>72</v>
      </c>
      <c r="I6" s="38" t="n">
        <v>0</v>
      </c>
      <c r="J6" s="38" t="n">
        <v>100</v>
      </c>
      <c r="K6" s="38" t="s">
        <v>73</v>
      </c>
      <c r="L6" s="38" t="n">
        <v>40</v>
      </c>
      <c r="M6" s="38" t="n">
        <v>120</v>
      </c>
      <c r="N6" s="38" t="s">
        <v>74</v>
      </c>
      <c r="O6" s="39" t="n">
        <v>0</v>
      </c>
      <c r="P6" s="39" t="n">
        <v>60</v>
      </c>
    </row>
    <row r="7" customFormat="false" ht="14.2" hidden="false" customHeight="false" outlineLevel="0" collapsed="false">
      <c r="A7" s="37" t="s">
        <v>75</v>
      </c>
      <c r="B7" s="38" t="s">
        <v>61</v>
      </c>
      <c r="C7" s="38" t="n">
        <v>50</v>
      </c>
      <c r="D7" s="38" t="n">
        <v>100</v>
      </c>
      <c r="E7" s="38" t="s">
        <v>61</v>
      </c>
      <c r="F7" s="38" t="n">
        <v>50</v>
      </c>
      <c r="G7" s="38" t="n">
        <v>100</v>
      </c>
      <c r="H7" s="38" t="s">
        <v>61</v>
      </c>
      <c r="I7" s="38" t="n">
        <v>50</v>
      </c>
      <c r="J7" s="38" t="n">
        <v>100</v>
      </c>
      <c r="K7" s="38" t="s">
        <v>76</v>
      </c>
      <c r="L7" s="38" t="n">
        <v>80</v>
      </c>
      <c r="M7" s="38" t="n">
        <v>120</v>
      </c>
      <c r="N7" s="38" t="s">
        <v>69</v>
      </c>
      <c r="O7" s="39" t="n">
        <v>40</v>
      </c>
      <c r="P7" s="39" t="n">
        <v>80</v>
      </c>
    </row>
    <row r="8" customFormat="false" ht="14.2" hidden="false" customHeight="false" outlineLevel="0" collapsed="false">
      <c r="A8" s="37" t="s">
        <v>77</v>
      </c>
      <c r="B8" s="38" t="s">
        <v>61</v>
      </c>
      <c r="C8" s="38" t="n">
        <v>50</v>
      </c>
      <c r="D8" s="38" t="n">
        <v>100</v>
      </c>
      <c r="E8" s="38" t="s">
        <v>78</v>
      </c>
      <c r="F8" s="38" t="n">
        <v>0</v>
      </c>
      <c r="G8" s="38" t="n">
        <v>80</v>
      </c>
      <c r="H8" s="38" t="s">
        <v>59</v>
      </c>
      <c r="I8" s="38" t="n">
        <v>50</v>
      </c>
      <c r="J8" s="38" t="n">
        <v>150</v>
      </c>
      <c r="K8" s="38" t="s">
        <v>79</v>
      </c>
      <c r="L8" s="38" t="n">
        <v>40</v>
      </c>
      <c r="M8" s="38" t="n">
        <v>150</v>
      </c>
      <c r="N8" s="38" t="s">
        <v>80</v>
      </c>
      <c r="O8" s="39" t="n">
        <v>30</v>
      </c>
      <c r="P8" s="39" t="n">
        <v>120</v>
      </c>
    </row>
    <row r="9" customFormat="false" ht="14.2" hidden="false" customHeight="false" outlineLevel="0" collapsed="false">
      <c r="A9" s="37" t="s">
        <v>81</v>
      </c>
      <c r="B9" s="38" t="s">
        <v>82</v>
      </c>
      <c r="C9" s="38" t="n">
        <v>75</v>
      </c>
      <c r="D9" s="38" t="n">
        <v>150</v>
      </c>
      <c r="E9" s="38" t="s">
        <v>65</v>
      </c>
      <c r="F9" s="38" t="n">
        <v>0</v>
      </c>
      <c r="G9" s="38" t="n">
        <v>50</v>
      </c>
      <c r="H9" s="38" t="s">
        <v>61</v>
      </c>
      <c r="I9" s="38" t="n">
        <v>50</v>
      </c>
      <c r="J9" s="38" t="n">
        <v>100</v>
      </c>
      <c r="K9" s="38" t="s">
        <v>78</v>
      </c>
      <c r="L9" s="38" t="n">
        <v>0</v>
      </c>
      <c r="M9" s="38" t="n">
        <v>80</v>
      </c>
      <c r="N9" s="38" t="s">
        <v>63</v>
      </c>
      <c r="O9" s="39" t="n">
        <v>-60</v>
      </c>
      <c r="P9" s="39" t="n">
        <v>0</v>
      </c>
    </row>
    <row r="10" customFormat="false" ht="14.2" hidden="false" customHeight="false" outlineLevel="0" collapsed="false">
      <c r="A10" s="37" t="s">
        <v>83</v>
      </c>
      <c r="B10" s="38" t="s">
        <v>61</v>
      </c>
      <c r="C10" s="38" t="n">
        <v>50</v>
      </c>
      <c r="D10" s="38" t="n">
        <v>100</v>
      </c>
      <c r="E10" s="38" t="s">
        <v>59</v>
      </c>
      <c r="F10" s="38" t="n">
        <v>50</v>
      </c>
      <c r="G10" s="38" t="n">
        <v>150</v>
      </c>
      <c r="H10" s="38" t="s">
        <v>61</v>
      </c>
      <c r="I10" s="38" t="n">
        <v>50</v>
      </c>
      <c r="J10" s="38" t="n">
        <v>100</v>
      </c>
      <c r="K10" s="38" t="s">
        <v>73</v>
      </c>
      <c r="L10" s="38" t="n">
        <v>40</v>
      </c>
      <c r="M10" s="38" t="n">
        <v>120</v>
      </c>
      <c r="N10" s="38" t="s">
        <v>74</v>
      </c>
      <c r="O10" s="39" t="n">
        <v>0</v>
      </c>
      <c r="P10" s="39" t="n">
        <v>60</v>
      </c>
    </row>
    <row r="11" customFormat="false" ht="14.2" hidden="false" customHeight="false" outlineLevel="0" collapsed="false">
      <c r="A11" s="37" t="s">
        <v>84</v>
      </c>
      <c r="B11" s="38" t="s">
        <v>61</v>
      </c>
      <c r="C11" s="38" t="n">
        <v>51</v>
      </c>
      <c r="D11" s="38" t="n">
        <v>100</v>
      </c>
      <c r="E11" s="38" t="s">
        <v>59</v>
      </c>
      <c r="F11" s="38" t="n">
        <v>50</v>
      </c>
      <c r="G11" s="38" t="n">
        <v>150</v>
      </c>
      <c r="H11" s="38" t="s">
        <v>59</v>
      </c>
      <c r="I11" s="38" t="n">
        <v>50</v>
      </c>
      <c r="J11" s="38" t="n">
        <v>150</v>
      </c>
      <c r="K11" s="38" t="s">
        <v>85</v>
      </c>
      <c r="L11" s="38" t="n">
        <v>80</v>
      </c>
      <c r="M11" s="38" t="n">
        <v>150</v>
      </c>
      <c r="N11" s="38" t="s">
        <v>86</v>
      </c>
      <c r="O11" s="39" t="n">
        <v>30</v>
      </c>
      <c r="P11" s="39" t="n">
        <v>90</v>
      </c>
    </row>
    <row r="12" customFormat="false" ht="14.2" hidden="false" customHeight="false" outlineLevel="0" collapsed="false">
      <c r="A12" s="37" t="s">
        <v>87</v>
      </c>
      <c r="B12" s="38" t="s">
        <v>61</v>
      </c>
      <c r="C12" s="38" t="n">
        <v>52</v>
      </c>
      <c r="D12" s="38" t="n">
        <v>100</v>
      </c>
      <c r="E12" s="38" t="s">
        <v>65</v>
      </c>
      <c r="F12" s="38" t="n">
        <v>0</v>
      </c>
      <c r="G12" s="38" t="n">
        <v>50</v>
      </c>
      <c r="H12" s="38" t="s">
        <v>59</v>
      </c>
      <c r="I12" s="38" t="n">
        <v>50</v>
      </c>
      <c r="J12" s="38" t="n">
        <v>150</v>
      </c>
      <c r="K12" s="38" t="s">
        <v>78</v>
      </c>
      <c r="L12" s="38" t="n">
        <v>0</v>
      </c>
      <c r="M12" s="38" t="n">
        <v>80</v>
      </c>
      <c r="N12" s="38" t="s">
        <v>88</v>
      </c>
      <c r="O12" s="39" t="n">
        <v>-30</v>
      </c>
      <c r="P12" s="39" t="n">
        <v>0</v>
      </c>
    </row>
    <row r="13" customFormat="false" ht="14.2" hidden="false" customHeight="false" outlineLevel="0" collapsed="false">
      <c r="A13" s="37" t="s">
        <v>89</v>
      </c>
      <c r="B13" s="38" t="s">
        <v>61</v>
      </c>
      <c r="C13" s="38" t="n">
        <v>53</v>
      </c>
      <c r="D13" s="38" t="n">
        <v>100</v>
      </c>
      <c r="E13" s="38" t="s">
        <v>65</v>
      </c>
      <c r="F13" s="38" t="n">
        <v>0</v>
      </c>
      <c r="G13" s="38" t="n">
        <v>50</v>
      </c>
      <c r="H13" s="38" t="s">
        <v>61</v>
      </c>
      <c r="I13" s="38" t="n">
        <v>50</v>
      </c>
      <c r="J13" s="38" t="n">
        <v>100</v>
      </c>
      <c r="K13" s="38" t="s">
        <v>73</v>
      </c>
      <c r="L13" s="38" t="n">
        <v>40</v>
      </c>
      <c r="M13" s="38" t="n">
        <v>120</v>
      </c>
      <c r="N13" s="38" t="s">
        <v>70</v>
      </c>
      <c r="O13" s="39" t="n">
        <v>-30</v>
      </c>
      <c r="P13" s="39" t="n">
        <v>30</v>
      </c>
    </row>
    <row r="14" customFormat="false" ht="14.2" hidden="false" customHeight="false" outlineLevel="0" collapsed="false">
      <c r="A14" s="37" t="s">
        <v>90</v>
      </c>
      <c r="B14" s="38" t="s">
        <v>61</v>
      </c>
      <c r="C14" s="38" t="n">
        <v>54</v>
      </c>
      <c r="D14" s="38" t="n">
        <v>100</v>
      </c>
      <c r="E14" s="38" t="s">
        <v>91</v>
      </c>
      <c r="F14" s="38" t="n">
        <v>100</v>
      </c>
      <c r="G14" s="38" t="n">
        <v>200</v>
      </c>
      <c r="H14" s="38" t="s">
        <v>61</v>
      </c>
      <c r="I14" s="38" t="n">
        <v>50</v>
      </c>
      <c r="J14" s="38" t="n">
        <v>100</v>
      </c>
      <c r="K14" s="38" t="s">
        <v>73</v>
      </c>
      <c r="L14" s="38" t="n">
        <v>40</v>
      </c>
      <c r="M14" s="38" t="n">
        <v>120</v>
      </c>
      <c r="N14" s="38" t="s">
        <v>74</v>
      </c>
      <c r="O14" s="39" t="n">
        <v>0</v>
      </c>
      <c r="P14" s="39" t="n">
        <v>60</v>
      </c>
    </row>
    <row r="15" customFormat="false" ht="14.2" hidden="false" customHeight="false" outlineLevel="0" collapsed="false">
      <c r="A15" s="37" t="s">
        <v>92</v>
      </c>
      <c r="B15" s="38" t="s">
        <v>61</v>
      </c>
      <c r="C15" s="38" t="n">
        <v>55</v>
      </c>
      <c r="D15" s="38" t="n">
        <v>100</v>
      </c>
      <c r="E15" s="38" t="s">
        <v>61</v>
      </c>
      <c r="F15" s="38" t="n">
        <v>50</v>
      </c>
      <c r="G15" s="38" t="n">
        <v>100</v>
      </c>
      <c r="H15" s="38" t="s">
        <v>59</v>
      </c>
      <c r="I15" s="38" t="n">
        <v>50</v>
      </c>
      <c r="J15" s="38" t="n">
        <v>150</v>
      </c>
      <c r="K15" s="38" t="s">
        <v>93</v>
      </c>
      <c r="L15" s="38" t="n">
        <v>80</v>
      </c>
      <c r="M15" s="38" t="n">
        <v>160</v>
      </c>
      <c r="N15" s="38" t="s">
        <v>94</v>
      </c>
      <c r="O15" s="39" t="n">
        <v>60</v>
      </c>
      <c r="P15" s="39" t="n">
        <v>120</v>
      </c>
    </row>
    <row r="16" customFormat="false" ht="14.2" hidden="false" customHeight="false" outlineLevel="0" collapsed="false">
      <c r="A16" s="37" t="s">
        <v>95</v>
      </c>
      <c r="B16" s="38" t="s">
        <v>59</v>
      </c>
      <c r="C16" s="38" t="n">
        <v>56</v>
      </c>
      <c r="D16" s="38" t="n">
        <v>150</v>
      </c>
      <c r="E16" s="38" t="s">
        <v>91</v>
      </c>
      <c r="F16" s="38" t="n">
        <v>100</v>
      </c>
      <c r="G16" s="38" t="n">
        <v>200</v>
      </c>
      <c r="H16" s="38" t="s">
        <v>61</v>
      </c>
      <c r="I16" s="38" t="n">
        <v>50</v>
      </c>
      <c r="J16" s="38" t="n">
        <v>100</v>
      </c>
      <c r="K16" s="38" t="s">
        <v>62</v>
      </c>
      <c r="L16" s="38" t="n">
        <v>0</v>
      </c>
      <c r="M16" s="38" t="n">
        <v>40</v>
      </c>
      <c r="N16" s="38" t="s">
        <v>88</v>
      </c>
      <c r="O16" s="39" t="n">
        <v>-30</v>
      </c>
      <c r="P16" s="39" t="n">
        <v>0</v>
      </c>
    </row>
    <row r="17" customFormat="false" ht="14.2" hidden="false" customHeight="false" outlineLevel="0" collapsed="false">
      <c r="A17" s="37" t="s">
        <v>96</v>
      </c>
      <c r="B17" s="38" t="s">
        <v>61</v>
      </c>
      <c r="C17" s="38" t="n">
        <v>57</v>
      </c>
      <c r="D17" s="38" t="n">
        <v>100</v>
      </c>
      <c r="E17" s="38" t="s">
        <v>73</v>
      </c>
      <c r="F17" s="38" t="n">
        <v>40</v>
      </c>
      <c r="G17" s="38" t="n">
        <v>120</v>
      </c>
      <c r="H17" s="38" t="s">
        <v>59</v>
      </c>
      <c r="I17" s="38" t="n">
        <v>50</v>
      </c>
      <c r="J17" s="38" t="n">
        <v>150</v>
      </c>
      <c r="K17" s="38" t="s">
        <v>73</v>
      </c>
      <c r="L17" s="38" t="n">
        <v>40</v>
      </c>
      <c r="M17" s="38" t="n">
        <v>120</v>
      </c>
      <c r="N17" s="38" t="s">
        <v>74</v>
      </c>
      <c r="O17" s="39" t="n">
        <v>0</v>
      </c>
      <c r="P17" s="39" t="n">
        <v>60</v>
      </c>
    </row>
    <row r="18" customFormat="false" ht="14.2" hidden="false" customHeight="false" outlineLevel="0" collapsed="false">
      <c r="A18" s="37" t="s">
        <v>97</v>
      </c>
      <c r="B18" s="38" t="s">
        <v>61</v>
      </c>
      <c r="C18" s="38" t="n">
        <v>58</v>
      </c>
      <c r="D18" s="38" t="n">
        <v>100</v>
      </c>
      <c r="E18" s="38" t="s">
        <v>65</v>
      </c>
      <c r="F18" s="38" t="n">
        <v>0</v>
      </c>
      <c r="G18" s="38" t="n">
        <v>50</v>
      </c>
      <c r="H18" s="38" t="s">
        <v>61</v>
      </c>
      <c r="I18" s="38" t="n">
        <v>50</v>
      </c>
      <c r="J18" s="38" t="n">
        <v>100</v>
      </c>
      <c r="K18" s="38" t="s">
        <v>98</v>
      </c>
      <c r="L18" s="38" t="n">
        <v>120</v>
      </c>
      <c r="M18" s="38" t="n">
        <v>200</v>
      </c>
      <c r="N18" s="38" t="s">
        <v>98</v>
      </c>
      <c r="O18" s="39" t="n">
        <v>120</v>
      </c>
      <c r="P18" s="39" t="n">
        <v>200</v>
      </c>
    </row>
  </sheetData>
  <sheetProtection sheet="true" password="cae9" objects="true" scenarios="true"/>
  <mergeCells count="5">
    <mergeCell ref="B1:D1"/>
    <mergeCell ref="E1:G1"/>
    <mergeCell ref="H1:J1"/>
    <mergeCell ref="K1:M1"/>
    <mergeCell ref="N1:P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dcterms:modified xsi:type="dcterms:W3CDTF">2019-07-10T15:40:35Z</dcterms:modified>
  <cp:revision>8</cp:revision>
  <dc:subject/>
  <dc:title/>
</cp:coreProperties>
</file>